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440" windowHeight="12525" activeTab="0"/>
  </bookViews>
  <sheets>
    <sheet name="Здания с плоской кровлей" sheetId="1" r:id="rId1"/>
    <sheet name="Здания со скатной кровлей" sheetId="2" r:id="rId2"/>
    <sheet name="Выбор молниеприемника" sheetId="3" r:id="rId3"/>
  </sheets>
  <definedNames/>
  <calcPr fullCalcOnLoad="1"/>
</workbook>
</file>

<file path=xl/sharedStrings.xml><?xml version="1.0" encoding="utf-8"?>
<sst xmlns="http://schemas.openxmlformats.org/spreadsheetml/2006/main" count="190" uniqueCount="100">
  <si>
    <t>Введите данные:</t>
  </si>
  <si>
    <t>м</t>
  </si>
  <si>
    <t>А - ширина здания</t>
  </si>
  <si>
    <t>B - длина здания</t>
  </si>
  <si>
    <t>H - высота здания</t>
  </si>
  <si>
    <t>NC1008</t>
  </si>
  <si>
    <t>NG3103</t>
  </si>
  <si>
    <t>X - шаг сетки</t>
  </si>
  <si>
    <t>шт</t>
  </si>
  <si>
    <t>NG3108</t>
  </si>
  <si>
    <t xml:space="preserve">   Универсальный соединитель</t>
  </si>
  <si>
    <t xml:space="preserve">   Параллельный зажим</t>
  </si>
  <si>
    <t xml:space="preserve">   Пруток 8 мм, горячеоцинкованный</t>
  </si>
  <si>
    <t>NC2254</t>
  </si>
  <si>
    <t xml:space="preserve">   Полоса 25х4, горячеоцинкованная</t>
  </si>
  <si>
    <t>NG3101</t>
  </si>
  <si>
    <t>Контур заземления</t>
  </si>
  <si>
    <t>NC2444</t>
  </si>
  <si>
    <t>NE5503</t>
  </si>
  <si>
    <t xml:space="preserve">   Полоса 40х4, горячеоцинкованная</t>
  </si>
  <si>
    <t xml:space="preserve">   Вертикальный заземлитель из уголка 50х50х5 мм, 3 м</t>
  </si>
  <si>
    <t>ы</t>
  </si>
  <si>
    <t xml:space="preserve">   -   поля для ввода</t>
  </si>
  <si>
    <t>α° - угол ската</t>
  </si>
  <si>
    <t>°</t>
  </si>
  <si>
    <t>ND2204</t>
  </si>
  <si>
    <t>ND2214</t>
  </si>
  <si>
    <t xml:space="preserve">   Коньковый регулируемый зажим с пластик. держ.</t>
  </si>
  <si>
    <t xml:space="preserve">   Пластик. держатель под черепицу 330 мм</t>
  </si>
  <si>
    <t>I  класс - X не более 5 м (надежность 0,98)</t>
  </si>
  <si>
    <t>II и III класс - Х не более 10 м (надежность 0,95)</t>
  </si>
  <si>
    <t>А - расстояние до объекта</t>
  </si>
  <si>
    <t>H - высота объекта</t>
  </si>
  <si>
    <t>Надежность защиты (выбрать из списка)</t>
  </si>
  <si>
    <t>Комплект молниеприемника</t>
  </si>
  <si>
    <t>NL1000</t>
  </si>
  <si>
    <t>NL2000</t>
  </si>
  <si>
    <t>NL3000</t>
  </si>
  <si>
    <t>NL4000</t>
  </si>
  <si>
    <t>NL7000</t>
  </si>
  <si>
    <t>NL0345</t>
  </si>
  <si>
    <t>NL0500</t>
  </si>
  <si>
    <t>NL0700</t>
  </si>
  <si>
    <t>NG6606</t>
  </si>
  <si>
    <t>Молниеприемный стержень, 1 м</t>
  </si>
  <si>
    <t>Молниеприемный стержень, 2 м</t>
  </si>
  <si>
    <t>Молниеприемный стержень, 3 м</t>
  </si>
  <si>
    <t>Молниеприемный стержень, 4 м</t>
  </si>
  <si>
    <t>Молниеприемная мачта, 7м</t>
  </si>
  <si>
    <t>Бетонное основание, 20 кг</t>
  </si>
  <si>
    <t>Бетонное основание, 40 кг</t>
  </si>
  <si>
    <t>Тренога для молниеприемной мачты</t>
  </si>
  <si>
    <t>Соединитель проводника для молниеприемника</t>
  </si>
  <si>
    <t>отсутствует</t>
  </si>
  <si>
    <t>ND2305</t>
  </si>
  <si>
    <t xml:space="preserve">   Фасадный держатель,160 мм</t>
  </si>
  <si>
    <t xml:space="preserve">   Соединитель пруток - полоса, 57х80 мм</t>
  </si>
  <si>
    <t xml:space="preserve">   Соединитель полоса - полоса, 80х70 мм</t>
  </si>
  <si>
    <t>NG3105</t>
  </si>
  <si>
    <t>NL5000</t>
  </si>
  <si>
    <t>NL6000</t>
  </si>
  <si>
    <t>Молниеприемная мачта, 5м</t>
  </si>
  <si>
    <t>Молниеприемная мачта, 6м</t>
  </si>
  <si>
    <t>NL7010</t>
  </si>
  <si>
    <t>Комплект молниеприемника, 10 м</t>
  </si>
  <si>
    <t>ND2311</t>
  </si>
  <si>
    <t xml:space="preserve">   Скоба-держатель полосы, 45 мм</t>
  </si>
  <si>
    <t>Глина</t>
  </si>
  <si>
    <t>Песок</t>
  </si>
  <si>
    <t>Суглинок</t>
  </si>
  <si>
    <t>Супесь</t>
  </si>
  <si>
    <t>Торф</t>
  </si>
  <si>
    <t>Чернозем</t>
  </si>
  <si>
    <t>Выберите вид грунта</t>
  </si>
  <si>
    <t>Выберите климатическую зону</t>
  </si>
  <si>
    <t>гор</t>
  </si>
  <si>
    <t>верт</t>
  </si>
  <si>
    <t>Молниеприемная сетка и токоотводы</t>
  </si>
  <si>
    <t>Почва</t>
  </si>
  <si>
    <t>ро</t>
  </si>
  <si>
    <t>Введите необходимое сопротивление контура</t>
  </si>
  <si>
    <t>1 зона: Архангельская, Кировская, Омская, Иркутская области, Коми, Урал;</t>
  </si>
  <si>
    <t>2 зона: Ленинградская и Вологодская области, центральная часть России, центральные области Казахстана, южная часть Карелии.</t>
  </si>
  <si>
    <t>4 зона: Азербайджан, Грузия, Армения, Узбекистан, Таджикистан, Киргизия, Туркмения (кроме горных районов), Ставропольский край, Молдова.</t>
  </si>
  <si>
    <t>р экв</t>
  </si>
  <si>
    <t>no</t>
  </si>
  <si>
    <t>Rп</t>
  </si>
  <si>
    <t>Rв</t>
  </si>
  <si>
    <t>Rв/n</t>
  </si>
  <si>
    <t>n</t>
  </si>
  <si>
    <r>
      <t xml:space="preserve">3 зона: Латвия, Эстония, Литва, </t>
    </r>
    <r>
      <rPr>
        <sz val="11"/>
        <color indexed="8"/>
        <rFont val="Calibri"/>
        <family val="2"/>
      </rPr>
      <t>Беларусь,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южные области Казахстана; Псковская, Новгородская, Смоленская, Брянская, Курская и Ростовская области.</t>
    </r>
  </si>
  <si>
    <t>Климатические зоны</t>
  </si>
  <si>
    <t>I и II класс не более 10 Ом , III класс не более 20 Ом</t>
  </si>
  <si>
    <t>неудв.</t>
  </si>
  <si>
    <t>NA1001</t>
  </si>
  <si>
    <t xml:space="preserve">   Антикоррозионная лента</t>
  </si>
  <si>
    <t>требуемого сопротивления, необходимо искусственно завысить длину/ширину здания для оценки необходимой длины контура.</t>
  </si>
  <si>
    <t xml:space="preserve">* если в ячейке количества заземлителей NE5503 указано неуд. - текущей длины контура (периметра здания) недостаточно для обеспечения </t>
  </si>
  <si>
    <t>ND1000</t>
  </si>
  <si>
    <t xml:space="preserve">   Универсальный держатель с бетоном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</si>
</sst>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29" fillId="8" borderId="10" xfId="0" applyFont="1" applyFill="1" applyBorder="1" applyAlignment="1">
      <alignment/>
    </xf>
    <xf numFmtId="0" fontId="29" fillId="8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/>
    </xf>
    <xf numFmtId="0" fontId="0" fillId="8" borderId="10" xfId="0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29" fillId="8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8" borderId="10" xfId="0" applyFill="1" applyBorder="1" applyAlignment="1">
      <alignment horizontal="center"/>
    </xf>
    <xf numFmtId="0" fontId="0" fillId="11" borderId="10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/>
    </xf>
    <xf numFmtId="0" fontId="0" fillId="11" borderId="10" xfId="0" applyNumberFormat="1" applyFill="1" applyBorder="1" applyAlignment="1" applyProtection="1">
      <alignment horizontal="center" vertical="center"/>
      <protection locked="0"/>
    </xf>
    <xf numFmtId="0" fontId="0" fillId="8" borderId="10" xfId="0" applyFont="1" applyFill="1" applyBorder="1" applyAlignment="1" applyProtection="1">
      <alignment horizontal="center" vertical="center"/>
      <protection hidden="1"/>
    </xf>
    <xf numFmtId="0" fontId="0" fillId="8" borderId="10" xfId="0" applyFill="1" applyBorder="1" applyAlignment="1" applyProtection="1">
      <alignment/>
      <protection hidden="1"/>
    </xf>
    <xf numFmtId="0" fontId="39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2</xdr:row>
      <xdr:rowOff>28575</xdr:rowOff>
    </xdr:from>
    <xdr:to>
      <xdr:col>17</xdr:col>
      <xdr:colOff>247650</xdr:colOff>
      <xdr:row>32</xdr:row>
      <xdr:rowOff>66675</xdr:rowOff>
    </xdr:to>
    <xdr:pic>
      <xdr:nvPicPr>
        <xdr:cNvPr id="1" name="Рисунок 1" descr="Чертеж1-Mod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409575"/>
          <a:ext cx="574357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2</xdr:row>
      <xdr:rowOff>28575</xdr:rowOff>
    </xdr:from>
    <xdr:to>
      <xdr:col>15</xdr:col>
      <xdr:colOff>381000</xdr:colOff>
      <xdr:row>31</xdr:row>
      <xdr:rowOff>47625</xdr:rowOff>
    </xdr:to>
    <xdr:pic>
      <xdr:nvPicPr>
        <xdr:cNvPr id="1" name="Рисунок 2" descr="Чертеж1-Mod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09575"/>
          <a:ext cx="552450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180975</xdr:rowOff>
    </xdr:from>
    <xdr:to>
      <xdr:col>16</xdr:col>
      <xdr:colOff>247650</xdr:colOff>
      <xdr:row>26</xdr:row>
      <xdr:rowOff>133350</xdr:rowOff>
    </xdr:to>
    <xdr:pic>
      <xdr:nvPicPr>
        <xdr:cNvPr id="1" name="Рисунок 2" descr="Чертеж1-Mod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80975"/>
          <a:ext cx="51530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C2:L125"/>
  <sheetViews>
    <sheetView tabSelected="1" zoomScale="115" zoomScaleNormal="115" zoomScalePageLayoutView="0" workbookViewId="0" topLeftCell="A1">
      <selection activeCell="G11" sqref="G11"/>
    </sheetView>
  </sheetViews>
  <sheetFormatPr defaultColWidth="9.140625" defaultRowHeight="15"/>
  <cols>
    <col min="1" max="2" width="3.7109375" style="0" customWidth="1"/>
    <col min="3" max="3" width="9.28125" style="4" customWidth="1"/>
    <col min="4" max="4" width="52.57421875" style="0" customWidth="1"/>
    <col min="5" max="5" width="9.7109375" style="4" customWidth="1"/>
    <col min="6" max="6" width="6.00390625" style="2" customWidth="1"/>
  </cols>
  <sheetData>
    <row r="2" spans="3:4" ht="15">
      <c r="C2" s="7"/>
      <c r="D2" s="1" t="s">
        <v>22</v>
      </c>
    </row>
    <row r="3" ht="15"/>
    <row r="4" ht="15">
      <c r="D4" s="1" t="s">
        <v>0</v>
      </c>
    </row>
    <row r="5" ht="15" hidden="1"/>
    <row r="6" spans="4:6" ht="15">
      <c r="D6" s="8" t="s">
        <v>2</v>
      </c>
      <c r="E6" s="18"/>
      <c r="F6" s="9" t="s">
        <v>1</v>
      </c>
    </row>
    <row r="7" spans="4:6" ht="15">
      <c r="D7" s="8" t="s">
        <v>3</v>
      </c>
      <c r="E7" s="18"/>
      <c r="F7" s="9" t="s">
        <v>1</v>
      </c>
    </row>
    <row r="8" spans="4:6" ht="15">
      <c r="D8" s="8" t="s">
        <v>4</v>
      </c>
      <c r="E8" s="18"/>
      <c r="F8" s="9" t="s">
        <v>1</v>
      </c>
    </row>
    <row r="9" ht="15">
      <c r="E9" s="21"/>
    </row>
    <row r="10" spans="4:6" ht="15">
      <c r="D10" s="8" t="s">
        <v>7</v>
      </c>
      <c r="E10" s="18"/>
      <c r="F10" s="9" t="s">
        <v>1</v>
      </c>
    </row>
    <row r="11" ht="15">
      <c r="D11" s="3" t="s">
        <v>29</v>
      </c>
    </row>
    <row r="12" ht="15">
      <c r="D12" s="3" t="s">
        <v>30</v>
      </c>
    </row>
    <row r="13" ht="15"/>
    <row r="14" ht="15">
      <c r="D14" s="5" t="s">
        <v>77</v>
      </c>
    </row>
    <row r="15" ht="15" hidden="1">
      <c r="D15" s="5"/>
    </row>
    <row r="16" spans="3:6" ht="15">
      <c r="C16" s="10" t="s">
        <v>5</v>
      </c>
      <c r="D16" s="11" t="s">
        <v>12</v>
      </c>
      <c r="E16" s="19">
        <f>IF(AND($E$7&gt;0,$E$6&gt;0,$E$10&gt;0),ROUNDUP(((ROUNDUP($E$6/$E$10,0)+1)*$E$7+(ROUNDUP($E$7/$E$10,0)+1)*$E$6)*1.1,0),0)</f>
        <v>0</v>
      </c>
      <c r="F16" s="9" t="s">
        <v>1</v>
      </c>
    </row>
    <row r="17" spans="3:6" ht="15">
      <c r="C17" s="10" t="s">
        <v>6</v>
      </c>
      <c r="D17" s="11" t="s">
        <v>10</v>
      </c>
      <c r="E17" s="19">
        <f>IF(AND($E$7&gt;0,$E$6&gt;0,$E$10&gt;0),ROUNDUP(((((ROUNDUP($E$6/$E$10,0)+1)*((ROUNDUP($E$7/$E$10,0)+1))))*1.1),0)+5,0)</f>
        <v>0</v>
      </c>
      <c r="F17" s="9" t="s">
        <v>8</v>
      </c>
    </row>
    <row r="18" spans="3:6" ht="15">
      <c r="C18" s="10" t="s">
        <v>9</v>
      </c>
      <c r="D18" s="11" t="s">
        <v>11</v>
      </c>
      <c r="E18" s="19">
        <f>IF(AND($E$7&gt;0,$E$6&gt;0),ROUNDUP($E$16/110,0)+ROUNDUP($E$17*0.1,0),0)</f>
        <v>0</v>
      </c>
      <c r="F18" s="9" t="s">
        <v>8</v>
      </c>
    </row>
    <row r="19" spans="3:6" ht="15">
      <c r="C19" s="10" t="s">
        <v>98</v>
      </c>
      <c r="D19" s="11" t="s">
        <v>99</v>
      </c>
      <c r="E19" s="19">
        <f>IF($E$16&gt;$E$17*3,$E$16-($E$17*3),0)</f>
        <v>0</v>
      </c>
      <c r="F19" s="9" t="s">
        <v>8</v>
      </c>
    </row>
    <row r="20" spans="3:6" ht="15">
      <c r="C20" s="10" t="s">
        <v>13</v>
      </c>
      <c r="D20" s="11" t="s">
        <v>14</v>
      </c>
      <c r="E20" s="19">
        <f>IF(AND($E$8&gt;0,$E$16&gt;0),ROUNDUP((((ROUNDUP($E$6/($E$10*2),0))+1)*2+((ROUNDUP($E$7/($E$10*2),0))*2+1)-3)*($E$8+2),0),0)</f>
        <v>0</v>
      </c>
      <c r="F20" s="9" t="s">
        <v>1</v>
      </c>
    </row>
    <row r="21" spans="3:6" ht="15">
      <c r="C21" s="12" t="s">
        <v>65</v>
      </c>
      <c r="D21" s="11" t="s">
        <v>66</v>
      </c>
      <c r="E21" s="19">
        <f>IF(AND($E$8&gt;0,$E$16&gt;0),(((ROUNDUP($E$6/($E$10*2),0))+1)*2+((ROUNDUP($E$7/($E$10*2),0))*2+1)-2)*ROUNDUP($E$8-1,0),0)</f>
        <v>0</v>
      </c>
      <c r="F21" s="9" t="s">
        <v>8</v>
      </c>
    </row>
    <row r="22" spans="3:6" ht="15">
      <c r="C22" s="10" t="s">
        <v>15</v>
      </c>
      <c r="D22" s="11" t="s">
        <v>56</v>
      </c>
      <c r="E22" s="19">
        <f>IF($E$20&gt;0,(((ROUNDUP($E$6/($E$10*2),0))+1)+((ROUNDUP($E$7/($E$10*2),0))*2+1)-2)+ROUNDUP($E$20/62,0),0)</f>
        <v>0</v>
      </c>
      <c r="F22" s="9" t="s">
        <v>8</v>
      </c>
    </row>
    <row r="23" spans="5:12" ht="15">
      <c r="E23" s="20"/>
      <c r="L23" t="s">
        <v>21</v>
      </c>
    </row>
    <row r="24" spans="4:5" ht="15">
      <c r="D24" s="6" t="s">
        <v>16</v>
      </c>
      <c r="E24" s="20"/>
    </row>
    <row r="25" ht="15" hidden="1">
      <c r="E25" s="20"/>
    </row>
    <row r="26" spans="4:5" ht="15">
      <c r="D26" s="11" t="s">
        <v>73</v>
      </c>
      <c r="E26" s="18"/>
    </row>
    <row r="27" spans="4:5" ht="15">
      <c r="D27" s="11" t="s">
        <v>74</v>
      </c>
      <c r="E27" s="18"/>
    </row>
    <row r="28" spans="4:5" ht="15">
      <c r="D28" s="11" t="s">
        <v>80</v>
      </c>
      <c r="E28" s="18"/>
    </row>
    <row r="29" spans="3:6" ht="15.75">
      <c r="C29"/>
      <c r="D29" s="25" t="s">
        <v>92</v>
      </c>
      <c r="E29"/>
      <c r="F29"/>
    </row>
    <row r="30" spans="5:6" ht="15">
      <c r="E30"/>
      <c r="F30"/>
    </row>
    <row r="31" spans="3:6" ht="15">
      <c r="C31" s="12" t="s">
        <v>17</v>
      </c>
      <c r="D31" s="11" t="s">
        <v>19</v>
      </c>
      <c r="E31" s="19">
        <f>IF(AND($E$7&gt;0,$E$6&gt;0),ROUNDUP((($E$6+2)*2+($E$7+2)*2)*1.05,0),0)</f>
        <v>0</v>
      </c>
      <c r="F31" s="9" t="s">
        <v>1</v>
      </c>
    </row>
    <row r="32" spans="3:6" ht="15">
      <c r="C32" s="10" t="s">
        <v>18</v>
      </c>
      <c r="D32" s="11" t="s">
        <v>20</v>
      </c>
      <c r="E32" s="19">
        <f>IF($E$31&gt;0,$D$124,)</f>
        <v>0</v>
      </c>
      <c r="F32" s="9" t="s">
        <v>8</v>
      </c>
    </row>
    <row r="33" spans="3:6" ht="15">
      <c r="C33" s="12" t="s">
        <v>58</v>
      </c>
      <c r="D33" s="11" t="s">
        <v>57</v>
      </c>
      <c r="E33" s="19">
        <f>IF($E$31&gt;0,ROUNDUP($E$31/38+2,0),)</f>
        <v>0</v>
      </c>
      <c r="F33" s="9" t="s">
        <v>8</v>
      </c>
    </row>
    <row r="34" spans="3:6" ht="15">
      <c r="C34" s="12" t="s">
        <v>94</v>
      </c>
      <c r="D34" s="11" t="s">
        <v>95</v>
      </c>
      <c r="E34" s="19">
        <f>IF($E$31&gt;0,CEILING($E$123/5,1),0)</f>
        <v>0</v>
      </c>
      <c r="F34" s="9" t="s">
        <v>8</v>
      </c>
    </row>
    <row r="36" spans="3:4" ht="15">
      <c r="C36"/>
      <c r="D36" s="6" t="s">
        <v>91</v>
      </c>
    </row>
    <row r="37" ht="15">
      <c r="C37" t="s">
        <v>81</v>
      </c>
    </row>
    <row r="38" ht="15">
      <c r="C38" t="s">
        <v>82</v>
      </c>
    </row>
    <row r="39" ht="15">
      <c r="C39" t="s">
        <v>90</v>
      </c>
    </row>
    <row r="40" ht="15">
      <c r="C40" t="s">
        <v>83</v>
      </c>
    </row>
    <row r="42" ht="15">
      <c r="C42" s="31" t="s">
        <v>97</v>
      </c>
    </row>
    <row r="43" ht="15">
      <c r="C43" s="31" t="s">
        <v>96</v>
      </c>
    </row>
    <row r="100" spans="3:4" ht="15" hidden="1">
      <c r="C100" s="4" t="s">
        <v>67</v>
      </c>
      <c r="D100">
        <v>70</v>
      </c>
    </row>
    <row r="101" spans="3:4" ht="15" hidden="1">
      <c r="C101" s="4" t="s">
        <v>78</v>
      </c>
      <c r="D101">
        <v>50</v>
      </c>
    </row>
    <row r="102" spans="3:4" ht="15" hidden="1">
      <c r="C102" s="4" t="s">
        <v>68</v>
      </c>
      <c r="D102">
        <v>500</v>
      </c>
    </row>
    <row r="103" spans="3:4" ht="15" hidden="1">
      <c r="C103" s="4" t="s">
        <v>69</v>
      </c>
      <c r="D103">
        <v>100</v>
      </c>
    </row>
    <row r="104" spans="3:4" ht="15" hidden="1">
      <c r="C104" s="4" t="s">
        <v>70</v>
      </c>
      <c r="D104">
        <v>300</v>
      </c>
    </row>
    <row r="105" spans="3:4" ht="15" hidden="1">
      <c r="C105" s="4" t="s">
        <v>71</v>
      </c>
      <c r="D105">
        <v>20</v>
      </c>
    </row>
    <row r="106" spans="3:4" ht="15" hidden="1">
      <c r="C106" s="4" t="s">
        <v>72</v>
      </c>
      <c r="D106">
        <v>30</v>
      </c>
    </row>
    <row r="107" spans="4:6" ht="15" hidden="1">
      <c r="D107" s="26"/>
      <c r="E107" s="20"/>
      <c r="F107" s="28"/>
    </row>
    <row r="108" spans="3:7" ht="15" hidden="1">
      <c r="C108" s="20" t="s">
        <v>79</v>
      </c>
      <c r="D108" s="26">
        <f>IF($E$26=$C$100,$D$100,IF($E$26=$C$101,$D$101,IF($E$26=$C$102,$D$102,IF($E$26=$C$103,$D$103,IF($E$26=$C$104,$D$104,IF($E$26=$C$105,$D$105,IF(E26=C106,D106,)))))))</f>
        <v>0</v>
      </c>
      <c r="E108" s="20"/>
      <c r="F108" s="28"/>
      <c r="G108" s="26"/>
    </row>
    <row r="109" spans="3:7" ht="15" hidden="1">
      <c r="C109" s="20" t="s">
        <v>84</v>
      </c>
      <c r="D109" s="26">
        <f>IF(AND(E26&lt;&gt;0,E27&lt;&gt;0),$D$115*$D$108*$D$108*3/($D$108*2.3+$D$108*0.7),0)</f>
        <v>0</v>
      </c>
      <c r="E109" s="20"/>
      <c r="F109" s="28"/>
      <c r="G109" s="26"/>
    </row>
    <row r="110" spans="3:7" ht="15" hidden="1">
      <c r="C110" s="20"/>
      <c r="D110" s="26" t="s">
        <v>76</v>
      </c>
      <c r="E110" s="20" t="s">
        <v>75</v>
      </c>
      <c r="F110" s="28"/>
      <c r="G110" s="26"/>
    </row>
    <row r="111" spans="3:7" ht="15" hidden="1">
      <c r="C111" s="20">
        <v>1</v>
      </c>
      <c r="D111" s="26">
        <v>1.9</v>
      </c>
      <c r="E111" s="20">
        <v>5.5</v>
      </c>
      <c r="F111" s="28"/>
      <c r="G111" s="26"/>
    </row>
    <row r="112" spans="3:7" ht="15" hidden="1">
      <c r="C112" s="20">
        <v>2</v>
      </c>
      <c r="D112" s="26">
        <v>1.6</v>
      </c>
      <c r="E112" s="20">
        <v>4</v>
      </c>
      <c r="F112" s="28"/>
      <c r="G112" s="26"/>
    </row>
    <row r="113" spans="3:7" ht="15" hidden="1">
      <c r="C113" s="20">
        <v>3</v>
      </c>
      <c r="D113" s="26">
        <v>1.5</v>
      </c>
      <c r="E113" s="20">
        <v>2.2</v>
      </c>
      <c r="F113" s="28"/>
      <c r="G113" s="26"/>
    </row>
    <row r="114" spans="3:7" ht="15" hidden="1">
      <c r="C114" s="20">
        <v>4</v>
      </c>
      <c r="D114" s="26">
        <v>1.3</v>
      </c>
      <c r="E114" s="20">
        <v>1.7</v>
      </c>
      <c r="F114" s="28"/>
      <c r="G114" s="26"/>
    </row>
    <row r="115" spans="3:7" ht="15" hidden="1">
      <c r="C115" s="20"/>
      <c r="D115" s="26">
        <f>IF($E$27=$C$111,$D$111,IF($E$27=$C$112,$D$112,IF($E$27=$C$113,$D$113,IF($E$27=$C$114,$D$114,))))</f>
        <v>0</v>
      </c>
      <c r="E115" s="26">
        <f>IF($E$27=$C$111,$E$111,IF($E$27=$C$112,$E$112,IF($E$27=$C$113,$E$113,IF($E$27=$C$114,$E$114,))))</f>
        <v>0</v>
      </c>
      <c r="F115" s="28"/>
      <c r="G115" s="26"/>
    </row>
    <row r="116" spans="3:7" ht="15" hidden="1">
      <c r="C116" s="20" t="s">
        <v>87</v>
      </c>
      <c r="D116" s="26">
        <f>($D$109/(2*3.14*3))*(LN(126.32)+0.5*LN(1.97))</f>
        <v>0</v>
      </c>
      <c r="E116" s="20"/>
      <c r="F116" s="28"/>
      <c r="G116" s="26"/>
    </row>
    <row r="117" spans="3:7" ht="15" hidden="1">
      <c r="C117" s="20" t="s">
        <v>85</v>
      </c>
      <c r="D117" s="26" t="e">
        <f>ROUNDUP($D$116*$D$115/$E$28,0)</f>
        <v>#DIV/0!</v>
      </c>
      <c r="E117" s="20"/>
      <c r="F117" s="28"/>
      <c r="G117" s="26"/>
    </row>
    <row r="118" spans="3:7" ht="15" hidden="1">
      <c r="C118" s="20" t="s">
        <v>86</v>
      </c>
      <c r="D118" s="29">
        <f>IF($E$31&gt;0,(((0.366*$D$109*$E$115)/($E$31*0.4)))*LOG10(2*$E$31*$E$31/0.032),)</f>
        <v>0</v>
      </c>
      <c r="E118" s="20">
        <f>E28</f>
        <v>0</v>
      </c>
      <c r="F118" s="28"/>
      <c r="G118" s="26"/>
    </row>
    <row r="119" spans="3:7" ht="15" hidden="1">
      <c r="C119" s="20" t="s">
        <v>88</v>
      </c>
      <c r="D119" s="26">
        <f>$D$116/0.65</f>
        <v>0</v>
      </c>
      <c r="E119" s="20"/>
      <c r="F119" s="28"/>
      <c r="G119" s="26"/>
    </row>
    <row r="120" spans="3:7" ht="15" hidden="1">
      <c r="C120" s="20"/>
      <c r="D120" s="26" t="e">
        <f>$D$118*$E$28/($D$118-$E$28)</f>
        <v>#DIV/0!</v>
      </c>
      <c r="E120" s="20"/>
      <c r="F120" s="28"/>
      <c r="G120" s="26"/>
    </row>
    <row r="121" spans="3:7" ht="15" hidden="1">
      <c r="C121" s="20"/>
      <c r="D121" s="26" t="e">
        <f>ROUNDDOWN($D$120,0)</f>
        <v>#DIV/0!</v>
      </c>
      <c r="E121" s="20"/>
      <c r="F121" s="28"/>
      <c r="G121" s="26"/>
    </row>
    <row r="122" spans="3:7" ht="15" hidden="1">
      <c r="C122" s="20" t="s">
        <v>89</v>
      </c>
      <c r="D122" s="26" t="e">
        <f>IF($D$121&gt;0,$D$119/$D$121,)</f>
        <v>#DIV/0!</v>
      </c>
      <c r="E122" s="20"/>
      <c r="F122" s="28"/>
      <c r="G122" s="26"/>
    </row>
    <row r="123" spans="3:7" ht="15" hidden="1">
      <c r="C123" s="20"/>
      <c r="D123" s="26" t="e">
        <f>CEILING($D$122,1)</f>
        <v>#DIV/0!</v>
      </c>
      <c r="E123" s="20">
        <f>IF(AND($E$6&gt;0,$E$7&gt;0,$E$10&gt;0),CEILING(($E$6+$E$7)/$E$10,1),0)</f>
        <v>0</v>
      </c>
      <c r="F123" s="28"/>
      <c r="G123" s="26"/>
    </row>
    <row r="124" spans="3:7" ht="15" hidden="1">
      <c r="C124" s="20"/>
      <c r="D124" s="26" t="e">
        <f>IF(AND($E$123&lt;$D$123,$D$123&lt;($E$31/3)),$D$123,$E$123)</f>
        <v>#DIV/0!</v>
      </c>
      <c r="E124" s="20"/>
      <c r="F124" s="28"/>
      <c r="G124" s="26"/>
    </row>
    <row r="125" spans="3:7" ht="15" hidden="1">
      <c r="C125" s="20"/>
      <c r="D125" s="26" t="e">
        <f>IF($D$124&gt;($E$31/3),$E$125,$D$124)</f>
        <v>#DIV/0!</v>
      </c>
      <c r="E125" s="27" t="s">
        <v>93</v>
      </c>
      <c r="F125" s="28"/>
      <c r="G125" s="26"/>
    </row>
  </sheetData>
  <sheetProtection password="DDE2" sheet="1"/>
  <dataValidations count="2">
    <dataValidation type="list" allowBlank="1" showInputMessage="1" showErrorMessage="1" sqref="E26">
      <formula1>$C$100:$C$107</formula1>
    </dataValidation>
    <dataValidation type="list" allowBlank="1" showInputMessage="1" showErrorMessage="1" sqref="E27">
      <formula1>$C$111:$C$115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C2:G124"/>
  <sheetViews>
    <sheetView zoomScale="115" zoomScaleNormal="115" zoomScalePageLayoutView="0" workbookViewId="0" topLeftCell="A11">
      <selection activeCell="E12" sqref="E12"/>
    </sheetView>
  </sheetViews>
  <sheetFormatPr defaultColWidth="9.140625" defaultRowHeight="15"/>
  <cols>
    <col min="1" max="2" width="3.7109375" style="0" customWidth="1"/>
    <col min="3" max="3" width="9.28125" style="4" customWidth="1"/>
    <col min="4" max="4" width="52.57421875" style="0" customWidth="1"/>
    <col min="5" max="5" width="9.140625" style="4" customWidth="1"/>
    <col min="6" max="6" width="6.00390625" style="2" customWidth="1"/>
    <col min="7" max="29" width="9.140625" style="15" customWidth="1"/>
  </cols>
  <sheetData>
    <row r="2" spans="3:4" ht="15">
      <c r="C2" s="7"/>
      <c r="D2" s="1" t="s">
        <v>22</v>
      </c>
    </row>
    <row r="3" ht="15"/>
    <row r="4" ht="15">
      <c r="D4" s="1" t="s">
        <v>0</v>
      </c>
    </row>
    <row r="5" ht="15" hidden="1"/>
    <row r="6" spans="4:6" ht="15">
      <c r="D6" s="8" t="s">
        <v>2</v>
      </c>
      <c r="E6" s="18"/>
      <c r="F6" s="9" t="s">
        <v>1</v>
      </c>
    </row>
    <row r="7" spans="4:6" ht="15">
      <c r="D7" s="8" t="s">
        <v>3</v>
      </c>
      <c r="E7" s="18"/>
      <c r="F7" s="9" t="s">
        <v>1</v>
      </c>
    </row>
    <row r="8" spans="4:6" ht="15">
      <c r="D8" s="8" t="s">
        <v>4</v>
      </c>
      <c r="E8" s="18"/>
      <c r="F8" s="9" t="s">
        <v>1</v>
      </c>
    </row>
    <row r="9" spans="4:6" ht="15">
      <c r="D9" s="8" t="s">
        <v>23</v>
      </c>
      <c r="E9" s="22"/>
      <c r="F9" s="14" t="s">
        <v>24</v>
      </c>
    </row>
    <row r="10" spans="4:6" ht="15">
      <c r="D10" s="8" t="s">
        <v>7</v>
      </c>
      <c r="E10" s="18"/>
      <c r="F10" s="9" t="s">
        <v>1</v>
      </c>
    </row>
    <row r="11" ht="15">
      <c r="D11" s="3" t="s">
        <v>29</v>
      </c>
    </row>
    <row r="12" ht="15">
      <c r="D12" s="3" t="s">
        <v>30</v>
      </c>
    </row>
    <row r="13" ht="15"/>
    <row r="14" ht="15">
      <c r="D14" s="5" t="s">
        <v>77</v>
      </c>
    </row>
    <row r="15" ht="15" hidden="1">
      <c r="D15" s="5"/>
    </row>
    <row r="16" spans="3:6" ht="15">
      <c r="C16" s="10" t="s">
        <v>5</v>
      </c>
      <c r="D16" s="11" t="s">
        <v>12</v>
      </c>
      <c r="E16" s="19">
        <f>IF(AND($E$7&gt;0,$E$6&gt;0,$E$10&gt;0),ROUNDUP(((ROUNDUP(($E$6/COS($E$9*3.14/180))/$E$10,0)+1)*$E$7+(ROUNDUP($E$7/$E$10,0)+1)*($E$6/COS($E$9*3.14/180)))*1.1,0)+(((ROUNDUP($E$6/($E$10*2),0))+1)*2+((ROUNDUP($E$7/($E$10*2),0))*2+1)-3)*($E$8+2),0)</f>
        <v>0</v>
      </c>
      <c r="F16" s="13" t="s">
        <v>1</v>
      </c>
    </row>
    <row r="17" spans="3:6" ht="15">
      <c r="C17" s="10" t="s">
        <v>6</v>
      </c>
      <c r="D17" s="11" t="s">
        <v>10</v>
      </c>
      <c r="E17" s="19">
        <f>IF(AND($E$7&gt;0,$E$6&gt;0,$E$10&gt;0),ROUNDUP(((((ROUNDUP($E$6/$E$10,0)+1)*((ROUNDUP($E$7/$E$10,0)+1))))*1.1),0)+5+(((ROUNDUP($E$6/($E$10*2),0))+1)*2+((ROUNDUP($E$7/($E$10*2),0))+1)-2)+ROUNDUP($E$16/55,0),0)</f>
        <v>0</v>
      </c>
      <c r="F17" s="13" t="s">
        <v>8</v>
      </c>
    </row>
    <row r="18" spans="3:6" ht="15">
      <c r="C18" s="10" t="s">
        <v>9</v>
      </c>
      <c r="D18" s="11" t="s">
        <v>11</v>
      </c>
      <c r="E18" s="19">
        <f>IF(AND($E$7&gt;0,$E$6&gt;0),ROUNDUP($E$16/110,0)+ROUNDUP($E$17*0.1,0),0)</f>
        <v>0</v>
      </c>
      <c r="F18" s="13" t="s">
        <v>8</v>
      </c>
    </row>
    <row r="19" spans="3:6" ht="15">
      <c r="C19" s="12" t="s">
        <v>25</v>
      </c>
      <c r="D19" s="11" t="s">
        <v>27</v>
      </c>
      <c r="E19" s="19">
        <f>IF(AND($E$6&gt;0,$E$7&gt;0,$E$10&gt;0),ROUNDUP($E$7+1,0),0)</f>
        <v>0</v>
      </c>
      <c r="F19" s="13" t="s">
        <v>8</v>
      </c>
    </row>
    <row r="20" spans="3:6" ht="15">
      <c r="C20" s="12" t="s">
        <v>26</v>
      </c>
      <c r="D20" s="11" t="s">
        <v>28</v>
      </c>
      <c r="E20" s="19">
        <f>IF(E10&gt;0,IF(AND($E$7&gt;0,$E$6&gt;0,$E$7&lt;$E$10),2*(ROUNDUP($E$6/COS($E$9*3.14/180),0)),(1+ROUNDUP($E$7/($E$10),0))*(ROUNDUP($E$6/COS($E$9*3.14/180),0))),0)</f>
        <v>0</v>
      </c>
      <c r="F20" s="13" t="s">
        <v>8</v>
      </c>
    </row>
    <row r="21" spans="3:6" ht="15">
      <c r="C21" s="10" t="s">
        <v>54</v>
      </c>
      <c r="D21" s="11" t="s">
        <v>55</v>
      </c>
      <c r="E21" s="19">
        <f>IF(AND($E$8&gt;0,$E$16&gt;0),(((ROUNDUP($E$6/($E$10*2),0))+1)*2+((ROUNDUP($E$7/($E$10*2),0))*2+1)-2)*ROUNDUP($E$8-1,0),0)</f>
        <v>0</v>
      </c>
      <c r="F21" s="13" t="s">
        <v>8</v>
      </c>
    </row>
    <row r="22" spans="3:6" ht="15">
      <c r="C22" s="10" t="s">
        <v>15</v>
      </c>
      <c r="D22" s="11" t="s">
        <v>56</v>
      </c>
      <c r="E22" s="19">
        <f>IF($E$16&gt;0,(((ROUNDUP($E$6/($E$10),0))+1)+((ROUNDUP($E$7/($E$10),0))+1)),0)</f>
        <v>0</v>
      </c>
      <c r="F22" s="13" t="s">
        <v>8</v>
      </c>
    </row>
    <row r="23" ht="15">
      <c r="E23" s="20"/>
    </row>
    <row r="24" spans="4:5" ht="15">
      <c r="D24" s="6" t="s">
        <v>16</v>
      </c>
      <c r="E24" s="20"/>
    </row>
    <row r="25" spans="4:5" ht="15">
      <c r="D25" s="11" t="s">
        <v>73</v>
      </c>
      <c r="E25" s="18"/>
    </row>
    <row r="26" spans="4:5" ht="15">
      <c r="D26" s="11" t="s">
        <v>74</v>
      </c>
      <c r="E26" s="18"/>
    </row>
    <row r="27" spans="4:5" ht="15">
      <c r="D27" s="11" t="s">
        <v>80</v>
      </c>
      <c r="E27" s="18"/>
    </row>
    <row r="28" spans="4:5" ht="15.75">
      <c r="D28" s="25" t="s">
        <v>92</v>
      </c>
      <c r="E28" s="20"/>
    </row>
    <row r="29" ht="15">
      <c r="E29" s="20"/>
    </row>
    <row r="30" spans="3:6" ht="15">
      <c r="C30" s="10" t="s">
        <v>17</v>
      </c>
      <c r="D30" s="11" t="s">
        <v>19</v>
      </c>
      <c r="E30" s="19">
        <f>IF(AND($E$7&gt;0,$E$6&gt;0),ROUNDUP((($E$6+2)*2+($E$7+2)*2)*1.05,0),0)</f>
        <v>0</v>
      </c>
      <c r="F30" s="13" t="s">
        <v>1</v>
      </c>
    </row>
    <row r="31" spans="3:6" ht="15">
      <c r="C31" s="10" t="s">
        <v>18</v>
      </c>
      <c r="D31" s="11" t="s">
        <v>20</v>
      </c>
      <c r="E31" s="19">
        <f>IF($E$30&gt;0,$D$124,)</f>
        <v>0</v>
      </c>
      <c r="F31" s="13" t="s">
        <v>8</v>
      </c>
    </row>
    <row r="32" spans="3:6" ht="15">
      <c r="C32" s="12" t="s">
        <v>58</v>
      </c>
      <c r="D32" s="11" t="s">
        <v>57</v>
      </c>
      <c r="E32" s="19">
        <f>ROUNDUP($E$30/38,0)</f>
        <v>0</v>
      </c>
      <c r="F32" s="13" t="s">
        <v>8</v>
      </c>
    </row>
    <row r="33" spans="3:6" ht="15">
      <c r="C33" s="12" t="s">
        <v>94</v>
      </c>
      <c r="D33" s="11" t="s">
        <v>95</v>
      </c>
      <c r="E33" s="19">
        <f>IF($E$30&gt;0,CEILING($E$122/5,1),0)</f>
        <v>0</v>
      </c>
      <c r="F33" s="13" t="s">
        <v>8</v>
      </c>
    </row>
    <row r="35" spans="3:4" ht="15">
      <c r="C35"/>
      <c r="D35" s="6" t="s">
        <v>91</v>
      </c>
    </row>
    <row r="36" ht="15">
      <c r="C36" t="s">
        <v>81</v>
      </c>
    </row>
    <row r="37" ht="15">
      <c r="C37" t="s">
        <v>82</v>
      </c>
    </row>
    <row r="38" ht="15">
      <c r="C38" t="s">
        <v>90</v>
      </c>
    </row>
    <row r="39" ht="15">
      <c r="C39" t="s">
        <v>83</v>
      </c>
    </row>
    <row r="41" ht="15">
      <c r="C41" s="31" t="s">
        <v>97</v>
      </c>
    </row>
    <row r="42" ht="15">
      <c r="C42" s="31" t="s">
        <v>96</v>
      </c>
    </row>
    <row r="99" spans="3:4" ht="15" hidden="1">
      <c r="C99" s="4" t="s">
        <v>67</v>
      </c>
      <c r="D99">
        <v>70</v>
      </c>
    </row>
    <row r="100" spans="3:4" ht="15" hidden="1">
      <c r="C100" s="4" t="s">
        <v>78</v>
      </c>
      <c r="D100">
        <v>50</v>
      </c>
    </row>
    <row r="101" spans="3:4" ht="15" hidden="1">
      <c r="C101" s="4" t="s">
        <v>68</v>
      </c>
      <c r="D101">
        <v>500</v>
      </c>
    </row>
    <row r="102" spans="3:4" ht="15" hidden="1">
      <c r="C102" s="4" t="s">
        <v>69</v>
      </c>
      <c r="D102">
        <v>100</v>
      </c>
    </row>
    <row r="103" spans="3:4" ht="15" hidden="1">
      <c r="C103" s="4" t="s">
        <v>70</v>
      </c>
      <c r="D103">
        <v>300</v>
      </c>
    </row>
    <row r="104" spans="3:4" ht="15" hidden="1">
      <c r="C104" s="4" t="s">
        <v>71</v>
      </c>
      <c r="D104">
        <v>20</v>
      </c>
    </row>
    <row r="105" spans="3:4" ht="15" hidden="1">
      <c r="C105" s="4" t="s">
        <v>72</v>
      </c>
      <c r="D105">
        <v>30</v>
      </c>
    </row>
    <row r="106" ht="15" hidden="1"/>
    <row r="107" spans="3:7" ht="15" hidden="1">
      <c r="C107" s="20" t="s">
        <v>79</v>
      </c>
      <c r="D107" s="26">
        <f>IF($E$25=$C$99,$D$99,IF($E$25=$C$100,$D$100,IF($E$25=$C$101,$D$101,IF($E$25=$C$102,$D$102,IF($E$25=$C$103,$D$103,IF($E$25=$C$104,$D$104,IF(E25=C105,D105,)))))))</f>
        <v>0</v>
      </c>
      <c r="E107" s="20"/>
      <c r="F107" s="28"/>
      <c r="G107" s="30"/>
    </row>
    <row r="108" spans="3:7" ht="15" hidden="1">
      <c r="C108" s="20" t="s">
        <v>84</v>
      </c>
      <c r="D108" s="26">
        <f>IF(AND(E25&lt;&gt;0,E26&lt;&gt;0),$D$114*$D$107*$D$107*3/($D$107*2.3+$D$107*0.7),0)</f>
        <v>0</v>
      </c>
      <c r="E108" s="20"/>
      <c r="F108" s="28"/>
      <c r="G108" s="30"/>
    </row>
    <row r="109" spans="3:7" ht="15" hidden="1">
      <c r="C109" s="20"/>
      <c r="D109" s="26" t="s">
        <v>76</v>
      </c>
      <c r="E109" s="20" t="s">
        <v>75</v>
      </c>
      <c r="F109" s="28"/>
      <c r="G109" s="30"/>
    </row>
    <row r="110" spans="3:7" ht="15" hidden="1">
      <c r="C110" s="20">
        <v>1</v>
      </c>
      <c r="D110" s="26">
        <v>1.9</v>
      </c>
      <c r="E110" s="20">
        <v>5.5</v>
      </c>
      <c r="F110" s="28"/>
      <c r="G110" s="30"/>
    </row>
    <row r="111" spans="3:7" ht="15" hidden="1">
      <c r="C111" s="20">
        <v>2</v>
      </c>
      <c r="D111" s="26">
        <v>1.6</v>
      </c>
      <c r="E111" s="20">
        <v>4</v>
      </c>
      <c r="F111" s="28"/>
      <c r="G111" s="30"/>
    </row>
    <row r="112" spans="3:7" ht="15" hidden="1">
      <c r="C112" s="20">
        <v>3</v>
      </c>
      <c r="D112" s="26">
        <v>1.5</v>
      </c>
      <c r="E112" s="20">
        <v>2.2</v>
      </c>
      <c r="F112" s="28"/>
      <c r="G112" s="30"/>
    </row>
    <row r="113" spans="3:7" ht="15" hidden="1">
      <c r="C113" s="20">
        <v>4</v>
      </c>
      <c r="D113" s="26">
        <v>1.3</v>
      </c>
      <c r="E113" s="20">
        <v>1.7</v>
      </c>
      <c r="F113" s="28"/>
      <c r="G113" s="30"/>
    </row>
    <row r="114" spans="3:7" ht="15" hidden="1">
      <c r="C114" s="20"/>
      <c r="D114" s="26">
        <f>IF($E$26=$C$110,$D$110,IF($E$26=$C$111,$D$111,IF($E$26=$C$112,$D$112,IF($E$26=$C$113,$D$113,))))</f>
        <v>0</v>
      </c>
      <c r="E114" s="26">
        <f>IF($E$26=$C$110,$E$110,IF($E$26=$C$111,$E$111,IF($E$26=$C$112,$E$112,IF($E$26=$C$113,$E$113,))))</f>
        <v>0</v>
      </c>
      <c r="F114" s="28"/>
      <c r="G114" s="30"/>
    </row>
    <row r="115" spans="3:7" ht="15" hidden="1">
      <c r="C115" s="20" t="s">
        <v>87</v>
      </c>
      <c r="D115" s="26">
        <f>($D$108/(2*3.14*3))*(LN(126.32)+0.5*LN(1.97))</f>
        <v>0</v>
      </c>
      <c r="E115" s="20"/>
      <c r="F115" s="28"/>
      <c r="G115" s="30"/>
    </row>
    <row r="116" spans="3:7" ht="15" hidden="1">
      <c r="C116" s="20" t="s">
        <v>85</v>
      </c>
      <c r="D116" s="26" t="e">
        <f>ROUNDUP($D$115*$D$114/$E$27,0)</f>
        <v>#DIV/0!</v>
      </c>
      <c r="E116" s="20"/>
      <c r="F116" s="28"/>
      <c r="G116" s="30"/>
    </row>
    <row r="117" spans="3:7" ht="15" hidden="1">
      <c r="C117" s="20" t="s">
        <v>86</v>
      </c>
      <c r="D117" s="26">
        <f>IF($E$30&gt;0,(((0.366*$D$108*$E$114)/($E$30*0.4)))*LOG10(2*$E$30*$E$30/0.032),)</f>
        <v>0</v>
      </c>
      <c r="E117" s="20"/>
      <c r="F117" s="28"/>
      <c r="G117" s="30"/>
    </row>
    <row r="118" spans="3:7" ht="15" hidden="1">
      <c r="C118" s="20" t="s">
        <v>88</v>
      </c>
      <c r="D118" s="26">
        <f>$D$115/0.65</f>
        <v>0</v>
      </c>
      <c r="E118" s="20"/>
      <c r="F118" s="28"/>
      <c r="G118" s="30"/>
    </row>
    <row r="119" spans="3:7" ht="15" hidden="1">
      <c r="C119" s="20"/>
      <c r="D119" s="26" t="e">
        <f>$D$117*$E$27/($D$117-$E$27)</f>
        <v>#DIV/0!</v>
      </c>
      <c r="E119" s="20"/>
      <c r="F119" s="28"/>
      <c r="G119" s="30"/>
    </row>
    <row r="120" spans="3:7" ht="15" hidden="1">
      <c r="C120" s="20"/>
      <c r="D120" s="26" t="e">
        <f>ROUNDDOWN(D119,0)</f>
        <v>#DIV/0!</v>
      </c>
      <c r="E120" s="20"/>
      <c r="F120" s="28"/>
      <c r="G120" s="30"/>
    </row>
    <row r="121" spans="3:7" ht="15" hidden="1">
      <c r="C121" s="20" t="s">
        <v>89</v>
      </c>
      <c r="D121" s="26" t="e">
        <f>IF($D$120&gt;0,$D$118/$D$120,)</f>
        <v>#DIV/0!</v>
      </c>
      <c r="E121" s="20"/>
      <c r="F121" s="28"/>
      <c r="G121" s="30"/>
    </row>
    <row r="122" spans="3:7" ht="15" hidden="1">
      <c r="C122" s="20"/>
      <c r="D122" s="26" t="e">
        <f>CEILING($D$121,1)</f>
        <v>#DIV/0!</v>
      </c>
      <c r="E122" s="20">
        <f>IF(AND($E$6&gt;0,$E$7&gt;0,$E$10&gt;0),CEILING(($E$6+$E$7)/$E$10,1),0)</f>
        <v>0</v>
      </c>
      <c r="F122" s="28"/>
      <c r="G122" s="30"/>
    </row>
    <row r="123" spans="3:7" ht="15" hidden="1">
      <c r="C123" s="20"/>
      <c r="D123" s="26" t="e">
        <f>IF(AND($E$122&lt;$D$122,$D$122&lt;($E$30/3)),$D$122,$E$122)</f>
        <v>#DIV/0!</v>
      </c>
      <c r="E123" s="20"/>
      <c r="F123" s="28"/>
      <c r="G123" s="30"/>
    </row>
    <row r="124" spans="3:7" ht="15" hidden="1">
      <c r="C124" s="20"/>
      <c r="D124" s="26" t="e">
        <f>IF($D$123&gt;($E$30/3),$E$124,$D$123)</f>
        <v>#DIV/0!</v>
      </c>
      <c r="E124" s="27" t="s">
        <v>93</v>
      </c>
      <c r="F124" s="28"/>
      <c r="G124" s="30"/>
    </row>
  </sheetData>
  <sheetProtection password="DDE2" sheet="1"/>
  <dataValidations count="2">
    <dataValidation type="list" allowBlank="1" showInputMessage="1" showErrorMessage="1" sqref="E26">
      <formula1>$C$110:$C$114</formula1>
    </dataValidation>
    <dataValidation type="list" allowBlank="1" showInputMessage="1" showErrorMessage="1" sqref="E25">
      <formula1>$C$99:$C$106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F114"/>
  <sheetViews>
    <sheetView zoomScale="115" zoomScaleNormal="115" zoomScalePageLayoutView="0" workbookViewId="0" topLeftCell="A1">
      <selection activeCell="E7" sqref="E7"/>
    </sheetView>
  </sheetViews>
  <sheetFormatPr defaultColWidth="9.140625" defaultRowHeight="15"/>
  <cols>
    <col min="1" max="2" width="3.7109375" style="0" customWidth="1"/>
    <col min="3" max="3" width="10.57421875" style="0" customWidth="1"/>
    <col min="4" max="4" width="51.57421875" style="0" customWidth="1"/>
    <col min="6" max="6" width="5.421875" style="0" customWidth="1"/>
  </cols>
  <sheetData>
    <row r="2" spans="3:4" ht="15">
      <c r="C2" s="7"/>
      <c r="D2" s="1" t="s">
        <v>22</v>
      </c>
    </row>
    <row r="4" ht="15">
      <c r="D4" s="1" t="s">
        <v>0</v>
      </c>
    </row>
    <row r="6" spans="4:6" ht="15">
      <c r="D6" s="8" t="s">
        <v>31</v>
      </c>
      <c r="E6" s="18"/>
      <c r="F6" s="9" t="s">
        <v>1</v>
      </c>
    </row>
    <row r="7" spans="4:6" ht="15">
      <c r="D7" s="8" t="s">
        <v>32</v>
      </c>
      <c r="E7" s="18"/>
      <c r="F7" s="9" t="s">
        <v>1</v>
      </c>
    </row>
    <row r="8" spans="4:6" ht="15">
      <c r="D8" s="8" t="s">
        <v>33</v>
      </c>
      <c r="E8" s="18">
        <v>0.9</v>
      </c>
      <c r="F8" s="9"/>
    </row>
    <row r="10" ht="15">
      <c r="D10" s="6" t="s">
        <v>34</v>
      </c>
    </row>
    <row r="12" spans="3:6" ht="15">
      <c r="C12" s="23" t="str">
        <f>IF(AND($E$8=0.9,$E$6&gt;0,$E$7&gt;0),$C$112,IF(AND($E$8=0.99,$E$6&gt;0,$E$7&gt;0),$C$113,IF(AND($E$8=0.999,$E$6&gt;0,$E$7&gt;0),$C$114,$C$111)))</f>
        <v>отсутствует</v>
      </c>
      <c r="D12" s="24">
        <f>IF($C$12=$C$100,$D$100,IF($C$12=$C$101,$D$101,IF($C$12=$C$102,$D$102,IF($C$12=$C$103,$D$103,IF($C$12=$C$106,$D$106,IF($C$12=$C$104,$D$104,IF($C$12=$C$105,$D$105,IF($C$12=$C$99,$D$99,))))))))</f>
        <v>0</v>
      </c>
      <c r="E12" s="19">
        <f>IF(OR($C$12=$C$100,$C$12=$C$101,$C$12=$C$102,$C$12=$C$103,$C$12=$C$106,$C$12=$C$104,$C$12=C105,$C$12=$C$99),1,)</f>
        <v>0</v>
      </c>
      <c r="F12" s="17" t="s">
        <v>8</v>
      </c>
    </row>
    <row r="13" spans="3:6" ht="15">
      <c r="C13" s="23">
        <f>IF(AND(OR($C$12=$C$100,$C$12=$C$101),$E$6&gt;0,$E$7&gt;0),$C$107,IF(AND(OR($C$12=$C$102,$C$12=$C$103,$C$12=$C$106,$C$12=$C$104,$C$12=$C$105),$E$6&gt;0,$E$7&gt;0),$C$108,))</f>
        <v>0</v>
      </c>
      <c r="D13" s="24">
        <f>IF($C$13=$C$107,$D$107,IF($C$13=$C$108,$D$108,))</f>
        <v>0</v>
      </c>
      <c r="E13" s="19">
        <f>IF(OR($C$12=$C$106,$C$12=$C$104,$C$12=$C$105),3,IF(OR($C$12=$C$103,$C$12=$C$102,$C$12=$C$101,$C$12=$C$100),1,))</f>
        <v>0</v>
      </c>
      <c r="F13" s="17" t="s">
        <v>8</v>
      </c>
    </row>
    <row r="14" spans="3:6" ht="15">
      <c r="C14" s="23">
        <f>IF(OR($C$12=$C$100,$C$12=$C$101,$C$12=$C$102,$C$12=$C$103,$C$12=$C$106,$C$12=$C$104,$C$12=$C$105),$C$110,)</f>
        <v>0</v>
      </c>
      <c r="D14" s="24">
        <f>IF($C$14=$C$110,$D$110,)</f>
        <v>0</v>
      </c>
      <c r="E14" s="19">
        <f>IF(AND($E$12=1,$C$12&lt;&gt;$C$99),1,)</f>
        <v>0</v>
      </c>
      <c r="F14" s="17" t="s">
        <v>8</v>
      </c>
    </row>
    <row r="15" spans="3:6" ht="15">
      <c r="C15" s="19">
        <f>IF(OR($C$12=$C$106,$C$12=$C$105,$C$12=$C$104),$C$109,)</f>
        <v>0</v>
      </c>
      <c r="D15" s="24">
        <f>IF($C$15=$C$109,$D$109,)</f>
        <v>0</v>
      </c>
      <c r="E15" s="19">
        <f>IF(OR($C$12=$C$106,$C$12=$C$105,$C$12=$C$104),1,)</f>
        <v>0</v>
      </c>
      <c r="F15" s="17" t="s">
        <v>8</v>
      </c>
    </row>
    <row r="99" spans="3:4" ht="15" hidden="1">
      <c r="C99" t="s">
        <v>63</v>
      </c>
      <c r="D99" t="s">
        <v>64</v>
      </c>
    </row>
    <row r="100" spans="3:4" ht="15" hidden="1">
      <c r="C100" t="s">
        <v>35</v>
      </c>
      <c r="D100" s="16" t="s">
        <v>44</v>
      </c>
    </row>
    <row r="101" spans="3:4" ht="15" hidden="1">
      <c r="C101" t="s">
        <v>36</v>
      </c>
      <c r="D101" s="16" t="s">
        <v>45</v>
      </c>
    </row>
    <row r="102" spans="3:4" ht="15" hidden="1">
      <c r="C102" t="s">
        <v>37</v>
      </c>
      <c r="D102" s="16" t="s">
        <v>46</v>
      </c>
    </row>
    <row r="103" spans="3:4" ht="15" hidden="1">
      <c r="C103" t="s">
        <v>38</v>
      </c>
      <c r="D103" s="16" t="s">
        <v>47</v>
      </c>
    </row>
    <row r="104" spans="3:4" ht="15" hidden="1">
      <c r="C104" t="s">
        <v>59</v>
      </c>
      <c r="D104" t="s">
        <v>61</v>
      </c>
    </row>
    <row r="105" spans="3:4" ht="15" hidden="1">
      <c r="C105" t="s">
        <v>60</v>
      </c>
      <c r="D105" t="s">
        <v>62</v>
      </c>
    </row>
    <row r="106" spans="3:4" ht="15" hidden="1">
      <c r="C106" t="s">
        <v>39</v>
      </c>
      <c r="D106" s="16" t="s">
        <v>48</v>
      </c>
    </row>
    <row r="107" spans="3:4" ht="15" hidden="1">
      <c r="C107" t="s">
        <v>40</v>
      </c>
      <c r="D107" s="16" t="s">
        <v>49</v>
      </c>
    </row>
    <row r="108" spans="3:4" ht="15" hidden="1">
      <c r="C108" t="s">
        <v>41</v>
      </c>
      <c r="D108" s="16" t="s">
        <v>50</v>
      </c>
    </row>
    <row r="109" spans="3:4" ht="15" hidden="1">
      <c r="C109" t="s">
        <v>42</v>
      </c>
      <c r="D109" s="16" t="s">
        <v>51</v>
      </c>
    </row>
    <row r="110" spans="3:4" ht="15" hidden="1">
      <c r="C110" t="s">
        <v>43</v>
      </c>
      <c r="D110" s="16" t="s">
        <v>52</v>
      </c>
    </row>
    <row r="111" ht="15" hidden="1">
      <c r="C111" t="s">
        <v>53</v>
      </c>
    </row>
    <row r="112" spans="3:4" ht="15" hidden="1">
      <c r="C112" s="10" t="str">
        <f>IF(OR($D$112=1,AND(0&lt;$D$112,1&gt;$D$112)),$C$100,IF(OR($D$112=2,AND(1&lt;$D$112,2&gt;$D$112)),$C$101,IF(OR($D$112=3,AND(2&lt;$D$112,3&gt;$D$112)),$C$102,IF(OR($D$112=4,AND(3&lt;$D$112,4&gt;$D$112)),$C$103,IF(OR($D$112=5,AND(4&lt;$D$112,5&gt;$D$112)),$C$104,IF(OR($D$112=6,AND(5&lt;$D$112,6&gt;$D$112)),$C$105,IF(AND(6&lt;$D$112,7&gt;$D$112),$C$106,IF(10&gt;$D$112,$C$99,$C$111))))))))</f>
        <v>NL7010</v>
      </c>
      <c r="D112">
        <f>(0.85*$E$6+1.2*$E$7)/1.02</f>
        <v>0</v>
      </c>
    </row>
    <row r="113" spans="3:4" ht="15" hidden="1">
      <c r="C113" s="10" t="str">
        <f>IF(OR($D$113=1,AND(0&lt;$D$113,1&gt;$D$113)),$C$100,IF(OR($D$113=2,AND(1&lt;$D$113,2&gt;$D$113)),$C$101,IF(OR($D$113=3,AND(2&lt;$D$113,3&gt;$D$113)),$C$102,IF(OR($D$113=4,AND(3&lt;$D$113,4&gt;$D$113)),$C$103,IF(OR($D$113=5,AND(4&lt;$D$113,5&gt;$D$113)),$C$104,IF(OR($D$113=6,AND(5&lt;$D$113,6&gt;$D$113)),$C$105,IF(AND(6&lt;$D$113,7&gt;$D$113),$C$106,IF(10&gt;$D$113,$C$99,$C$111))))))))</f>
        <v>NL1000</v>
      </c>
      <c r="D113">
        <f>($E$6+$E$7)/0.8+0.000000000000001</f>
        <v>1E-15</v>
      </c>
    </row>
    <row r="114" spans="3:4" ht="15" hidden="1">
      <c r="C114" s="10" t="str">
        <f>IF(OR($D$114=1,AND(0&lt;$D$114,1&gt;$D$114)),$C$100,IF(OR($D$114=2,AND(1&lt;$D$114,2&gt;$D$114)),$C$101,IF(OR($D$114=3,AND(2&lt;$D$114,3&gt;$D$114)),$C$102,IF(OR($D$114=4,AND(3&lt;$D$114,4&gt;$D$114)),$C$103,IF(OR($D$114=5,AND(4&lt;$D$114,5&gt;$D$114)),$C$104,IF(OR($D$114=6,AND(5&lt;$D$114,6&gt;$D$114)),$C$105,IF(AND(6&lt;$D$114,7&gt;$D$114),$C$106,IF(10&gt;$D$114,$C$99,$C$111))))))))</f>
        <v>NL7010</v>
      </c>
      <c r="D114">
        <f>(0.7*$E$6+0.6*$E$7)/0.42</f>
        <v>0</v>
      </c>
    </row>
  </sheetData>
  <sheetProtection password="DDE2" sheet="1"/>
  <dataValidations count="1">
    <dataValidation type="list" allowBlank="1" showInputMessage="1" showErrorMessage="1" sqref="E8">
      <formula1>"0,9,0,99,0,999"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Кондратенко Филипп Сергеевич</cp:lastModifiedBy>
  <dcterms:created xsi:type="dcterms:W3CDTF">2012-04-11T06:11:29Z</dcterms:created>
  <dcterms:modified xsi:type="dcterms:W3CDTF">2021-09-14T08:38:31Z</dcterms:modified>
  <cp:category/>
  <cp:version/>
  <cp:contentType/>
  <cp:contentStatus/>
</cp:coreProperties>
</file>